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Objects="none"/>
  <mc:AlternateContent xmlns:mc="http://schemas.openxmlformats.org/markup-compatibility/2006">
    <mc:Choice Requires="x15">
      <x15ac:absPath xmlns:x15ac="http://schemas.microsoft.com/office/spreadsheetml/2010/11/ac" url="C:\Users\a.raeisi\Desktop\New folder (3)\"/>
    </mc:Choice>
  </mc:AlternateContent>
  <bookViews>
    <workbookView xWindow="0" yWindow="0" windowWidth="28800" windowHeight="11700"/>
  </bookViews>
  <sheets>
    <sheet name="مناقصات" sheetId="1" r:id="rId1"/>
    <sheet name="آمار فنی-مهندسی" sheetId="3" r:id="rId2"/>
    <sheet name="آمار عمرانی" sheetId="4" r:id="rId3"/>
    <sheet name="آمار خدمات" sheetId="6" r:id="rId4"/>
    <sheet name="خرید اقلام" sheetId="5" r:id="rId5"/>
    <sheet name="آمار کل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2" i="1" l="1" a="1"/>
  <c r="A22" i="1" s="1"/>
  <c r="A23" i="1" a="1"/>
  <c r="A23" i="1" s="1"/>
  <c r="A20" i="1" a="1"/>
  <c r="A20" i="1" s="1"/>
  <c r="A21" i="1" a="1"/>
  <c r="A21" i="1" s="1"/>
  <c r="A18" i="1" a="1"/>
  <c r="A18" i="1" s="1"/>
  <c r="A19" i="1" a="1"/>
  <c r="A19" i="1" s="1"/>
  <c r="A14" i="1" a="1"/>
  <c r="A14" i="1" s="1"/>
  <c r="A15" i="1" a="1"/>
  <c r="A15" i="1" s="1"/>
  <c r="A16" i="1" a="1"/>
  <c r="A16" i="1" s="1"/>
  <c r="A17" i="1" a="1"/>
  <c r="A17" i="1" s="1"/>
  <c r="A13" i="1" a="1"/>
  <c r="A13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4" i="1" a="1"/>
  <c r="A4" i="1" s="1"/>
  <c r="A5" i="1" a="1"/>
  <c r="A5" i="1" s="1"/>
  <c r="A6" i="1" a="1"/>
  <c r="A6" i="1" s="1"/>
  <c r="C12" i="3"/>
  <c r="C8" i="4"/>
  <c r="B8" i="4" l="1"/>
  <c r="C11" i="3"/>
  <c r="B12" i="3"/>
  <c r="C10" i="4" l="1"/>
  <c r="C9" i="4"/>
  <c r="B10" i="4" l="1"/>
  <c r="B5" i="4"/>
  <c r="C10" i="3"/>
  <c r="B10" i="3"/>
  <c r="B6" i="4"/>
  <c r="C5" i="4"/>
  <c r="C6" i="4"/>
  <c r="B11" i="3"/>
  <c r="C7" i="4"/>
  <c r="B7" i="4"/>
  <c r="C9" i="3"/>
  <c r="B9" i="3"/>
  <c r="C4" i="4"/>
  <c r="C13" i="3"/>
  <c r="C12" i="4"/>
  <c r="B12" i="4"/>
  <c r="C11" i="4"/>
  <c r="C3" i="3"/>
  <c r="B3" i="3"/>
  <c r="B3" i="6"/>
  <c r="B4" i="6"/>
  <c r="B13" i="3"/>
  <c r="C6" i="6"/>
  <c r="B6" i="6"/>
  <c r="C5" i="6"/>
  <c r="B5" i="6"/>
  <c r="C4" i="6"/>
  <c r="C3" i="6"/>
  <c r="C3" i="4"/>
  <c r="B3" i="4"/>
  <c r="C3" i="5"/>
  <c r="C6" i="7" s="1"/>
  <c r="B3" i="5"/>
  <c r="B6" i="7" s="1"/>
  <c r="B4" i="4"/>
  <c r="C8" i="3"/>
  <c r="C7" i="3"/>
  <c r="C6" i="3"/>
  <c r="B6" i="3"/>
  <c r="B5" i="3"/>
  <c r="C5" i="3"/>
  <c r="C4" i="3"/>
  <c r="B8" i="3"/>
  <c r="B7" i="3"/>
  <c r="B11" i="4"/>
  <c r="B9" i="4"/>
  <c r="B4" i="3"/>
  <c r="B14" i="3" l="1"/>
  <c r="B3" i="7" s="1"/>
  <c r="C14" i="3"/>
  <c r="C3" i="7" s="1"/>
  <c r="B13" i="4"/>
  <c r="B4" i="7" s="1"/>
  <c r="C13" i="4"/>
  <c r="C4" i="7" s="1"/>
  <c r="B7" i="6"/>
  <c r="B5" i="7" s="1"/>
  <c r="C7" i="6"/>
  <c r="C5" i="7" s="1"/>
  <c r="C7" i="7" l="1"/>
  <c r="B7" i="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<sst xmlns="http://schemas.openxmlformats.org/spreadsheetml/2006/main" count="260" uniqueCount="174">
  <si>
    <t>ردیف</t>
  </si>
  <si>
    <t>عنوان مناقصه</t>
  </si>
  <si>
    <t>شماره مرجع</t>
  </si>
  <si>
    <t>موضوع</t>
  </si>
  <si>
    <t>برگزارکننده در قزاقستان</t>
  </si>
  <si>
    <t>تامین‌کننده هزینه مناقصه</t>
  </si>
  <si>
    <t>تاریخ شروع</t>
  </si>
  <si>
    <t>تاریخ خاتمه</t>
  </si>
  <si>
    <t>اطلاعات تکمیلی</t>
  </si>
  <si>
    <t>آدرس رایانامه</t>
  </si>
  <si>
    <t>روش</t>
  </si>
  <si>
    <t>ارزش (به یورو)</t>
  </si>
  <si>
    <t>خرید اقلام</t>
  </si>
  <si>
    <t>تعداد</t>
  </si>
  <si>
    <t>فنی و مهندسی</t>
  </si>
  <si>
    <t>آمار</t>
  </si>
  <si>
    <t>تعداد و ارزش کل</t>
  </si>
  <si>
    <t>ارزش (یورو)</t>
  </si>
  <si>
    <t>رقابت با استفاده از سامانه امتیازدهی</t>
  </si>
  <si>
    <t>انبوه‌سازی مسکن</t>
  </si>
  <si>
    <t>خدمات حمل‌ونقل</t>
  </si>
  <si>
    <t>فنی-مهندسی برق</t>
  </si>
  <si>
    <t>فنی-مهندسی راه‌آهن</t>
  </si>
  <si>
    <t>ساخت ابنیه/ساختار غیرمسکونی</t>
  </si>
  <si>
    <t>تعمیرات ابنیه/ساختار غیرمسکونی</t>
  </si>
  <si>
    <t>گازرسانی</t>
  </si>
  <si>
    <t>فنی-مهندسی معدن</t>
  </si>
  <si>
    <t>خدمات کترینگ</t>
  </si>
  <si>
    <t>بازسازی ابنیه تاریخی</t>
  </si>
  <si>
    <t>فنی-مهندسی ارتباطات و فناوری اطلاعات</t>
  </si>
  <si>
    <t>فنی-مهندسی فضای سبز</t>
  </si>
  <si>
    <t>ساخت بزرگراه، خیابان و جاده</t>
  </si>
  <si>
    <t>تعمیرات بزرگراه، خیابان و جاده</t>
  </si>
  <si>
    <t>آمار مناقصات خرید اقلام</t>
  </si>
  <si>
    <t>آمار مناقصات عمرانی</t>
  </si>
  <si>
    <t>آمار مناقصات خدمات فنی-مهندسی</t>
  </si>
  <si>
    <t>فنی-مهندسی کشاورزی</t>
  </si>
  <si>
    <t xml:space="preserve">جمع کل </t>
  </si>
  <si>
    <t>آمار مناقصات خدمات</t>
  </si>
  <si>
    <t>جمع کل</t>
  </si>
  <si>
    <t>فنی مهندسی گرمایش و سرمایش</t>
  </si>
  <si>
    <t>خدمات نظافت خیابان و ساختمان</t>
  </si>
  <si>
    <t>خدمات شهری (روشنایی معابر)</t>
  </si>
  <si>
    <t>عمرانی</t>
  </si>
  <si>
    <t>خدمات</t>
  </si>
  <si>
    <t>فنی مهندسی هواپیمایی کشوری</t>
  </si>
  <si>
    <t>فنی-مهندسی نفت‌وگاز</t>
  </si>
  <si>
    <t>آب‌وآبفا</t>
  </si>
  <si>
    <t xml:space="preserve">منبع: </t>
  </si>
  <si>
    <t>https://goszakup.gov.kz/ru/search/announce</t>
  </si>
  <si>
    <t>https://zakup.sk.kz/</t>
  </si>
  <si>
    <t>صندوق ملی رفاه سامروک کازینا</t>
  </si>
  <si>
    <t>مناقصه</t>
  </si>
  <si>
    <t>رقابت باز</t>
  </si>
  <si>
    <t>شرکت ملی راه قزاقستان</t>
  </si>
  <si>
    <t>amir.aliyev@qaj.kz</t>
  </si>
  <si>
    <t>شرکت ملی راه‌آهن قزاقستان</t>
  </si>
  <si>
    <t>zhetisugz@mail.ru</t>
  </si>
  <si>
    <t>مدیریت اموال و تدارکات عمومی آستانه</t>
  </si>
  <si>
    <t>gz3901832@mail.ru</t>
  </si>
  <si>
    <t>دپارتمان حمل‌ونقل شهر</t>
  </si>
  <si>
    <t>adik_75@mail.ru</t>
  </si>
  <si>
    <t>بخشداری</t>
  </si>
  <si>
    <t>Goszakup.krg@mail.ru</t>
  </si>
  <si>
    <t>فنی-مهندسی گرمایش و سرمایش</t>
  </si>
  <si>
    <t>کمیته خزانه‌داری وزارت دارایی</t>
  </si>
  <si>
    <t>فنی-مهندسی هواپیمایی کشوری</t>
  </si>
  <si>
    <t>a.dzhanshina@astana.kz</t>
  </si>
  <si>
    <t>برق‌رسانی</t>
  </si>
  <si>
    <t>Abishova_V@railways.kz</t>
  </si>
  <si>
    <t>شرکت کارخانه پتروشیمی پاولودار</t>
  </si>
  <si>
    <t>تعمیرات ابنیه/ساختار مسکونی</t>
  </si>
  <si>
    <t>natalia.muratova@bogatyr.kz</t>
  </si>
  <si>
    <t>e.abanin@pnhz.kz</t>
  </si>
  <si>
    <t>شرکت دولتی  "کازایروناویگاتسیا"</t>
  </si>
  <si>
    <t>zakupki_ugz@mail.kz</t>
  </si>
  <si>
    <t>bauken2012@mail.ru</t>
  </si>
  <si>
    <t>توسعه شبکه آب‌رسانی و فاضلاب در روستای ترکتی، شهر آلماتی</t>
  </si>
  <si>
    <t>فنی-مهندسی مکانیک</t>
  </si>
  <si>
    <t>ساخت زیرساخت شهرسازی</t>
  </si>
  <si>
    <t>سفارت جمهوری اسلامی ایران - آستانه</t>
  </si>
  <si>
    <t>Kasimov_B@railways.kz</t>
  </si>
  <si>
    <t>1404/06/03</t>
  </si>
  <si>
    <t>دپارتمان تدارکات عمومی استان ژتیسو</t>
  </si>
  <si>
    <t>1404/06/07</t>
  </si>
  <si>
    <t>1404/06/11</t>
  </si>
  <si>
    <t>1404/06/12</t>
  </si>
  <si>
    <t>شرکت "بوگاتیر کومیر"</t>
  </si>
  <si>
    <t>1404/06/14</t>
  </si>
  <si>
    <t>1404/06/13</t>
  </si>
  <si>
    <t>1404/06/17</t>
  </si>
  <si>
    <t>1404/06/20</t>
  </si>
  <si>
    <t>a.aitenov@ulytau-region.gov.kz</t>
  </si>
  <si>
    <t>دپارتمان تدارکات عمومی  استان اولیتاو</t>
  </si>
  <si>
    <t>دپارتمان ساخت و ساز استان</t>
  </si>
  <si>
    <t>دپارتمان ساخت‌وساز شهر ژزکازگان</t>
  </si>
  <si>
    <t>https://goszakup.gov.kz/ru/announce/index/15278980</t>
  </si>
  <si>
    <t>دپارتمان  اموال دولتی شهر آلماتی</t>
  </si>
  <si>
    <t>15303436-1</t>
  </si>
  <si>
    <t>https://goszakup.gov.kz/ru/announce/index/15303436</t>
  </si>
  <si>
    <t>تعمیر متوسط ​​جاده ملی KAZ12 "آتیرا-اورالسک" کیلومتر 95-189 (94 کیلومتر) بازیافت</t>
  </si>
  <si>
    <t>15303066-1</t>
  </si>
  <si>
    <t>https://goszakup.gov.kz/ru/announce/index/15303066</t>
  </si>
  <si>
    <t>1404/06/19</t>
  </si>
  <si>
    <t>کارهای مربوط به جاده‌ها و زیرساخت‌های حمل و نقل آستانه برای سال‌های 2025 و 2026</t>
  </si>
  <si>
    <t>15251875-3</t>
  </si>
  <si>
    <t>15286880-2</t>
  </si>
  <si>
    <t>https://goszakup.gov.kz/ru/announce/index/15311686</t>
  </si>
  <si>
    <t>15310866-1</t>
  </si>
  <si>
    <t>دپارتمان تدارکات عمومی  استان آکتوبه</t>
  </si>
  <si>
    <t>https://goszakup.gov.kz/ru/announce/index/15310866</t>
  </si>
  <si>
    <t>ساخت جاده جدید درجه چهار از روستای شوبارشی تا مرز  استان آتیرائو (۰-۱۷.۵ کیلومتر)</t>
  </si>
  <si>
    <t>دپارتمان  حمل‌و‌‌نقل  ناحیه اویل</t>
  </si>
  <si>
    <t>خدمات حمل و نقل و فورواردری با ارائه واگن‌های مخزن‌دار راه‌آهن</t>
  </si>
  <si>
    <t>شرکت "Ural Oil and Gas"</t>
  </si>
  <si>
    <t>https://zakup.sk.kz/#/ext(popup:item/1142249/advert)?tabs=advert&amp;pfrom=100000000&amp;adst=PUBLISHED&amp;lst=PUBLISHED&amp;sort=sumTruNoNds,desc&amp;page=2</t>
  </si>
  <si>
    <t>AKABDYGALIYEV@UOG.KZ</t>
  </si>
  <si>
    <t>1404/06/24</t>
  </si>
  <si>
    <t>https://zakup.sk.kz/#/ext(popup:item/1143115/advert)?tabs=advert&amp;pfrom=100000000&amp;adst=PUBLISHED&amp;lst=PUBLISHED&amp;sort=sumTruNoNds,desc&amp;page=2</t>
  </si>
  <si>
    <t>https://zakup.sk.kz/#/ext(popup:item/1140384/advert)?tabs=advert&amp;pfrom=100000000&amp;adst=PUBLISHED&amp;lst=PUBLISHED&amp;sort=sumTruNoNds,desc&amp;page=2</t>
  </si>
  <si>
    <t>شرکت  "اینترگاز آسیای مرکزی"</t>
  </si>
  <si>
    <t>https://zakup.sk.kz/#/ext(popup:item/1139509/advert)?tabs=advert&amp;pfrom=100000000&amp;adst=PUBLISHED&amp;lst=PUBLISHED&amp;sort=sumTruNoNds,desc&amp;page=2</t>
  </si>
  <si>
    <t>a.zhuban@qg.kz</t>
  </si>
  <si>
    <t>15317008-1</t>
  </si>
  <si>
    <t>دپارتمان  اموال و اموال دولتی استان کاراگاندا</t>
  </si>
  <si>
    <t>https://goszakup.gov.kz/ru/announce/index/15317008</t>
  </si>
  <si>
    <t>1404/06/21</t>
  </si>
  <si>
    <t>تعمیرات جاری شبکه‌های گرمایشی شهر کاراگاندا</t>
  </si>
  <si>
    <t>دپارتمان حمل‌و‌‌نقل شهر</t>
  </si>
  <si>
    <t>خرید مجموعه اندازه‌گیری برای ثبت و تجزیه و تحلیل صنایع راه‌آهن</t>
  </si>
  <si>
    <t>بازسازی تأسیسات تصفیه آب آشامیدنی در ژزکازگان (مرحله 2) اصلاحیه ۲</t>
  </si>
  <si>
    <t>خرید ۴۴۰۴ تن نیترات آمونیوم، درجه A</t>
  </si>
  <si>
    <t>خرید مایع بودار‌کننده گاز</t>
  </si>
  <si>
    <t>15319551-1</t>
  </si>
  <si>
    <t>دپارتمان تدارکات عمومی شهر چیمکنت</t>
  </si>
  <si>
    <t>https://goszakup.gov.kz/ru/announce/index/15319551</t>
  </si>
  <si>
    <t>دپارتمان حمل و نقل مسافر و بزرگراه‌های شهر چیمکنت</t>
  </si>
  <si>
    <t>15323661-1</t>
  </si>
  <si>
    <t>https://goszakup.gov.kz/ru/announce/index/15323661</t>
  </si>
  <si>
    <t>15319274-1</t>
  </si>
  <si>
    <t>https://goszakup.gov.kz/ru/announce/index/15319274</t>
  </si>
  <si>
    <t>دپارتمان حمل‌و‌‌نقل استان</t>
  </si>
  <si>
    <t>دپارتمان دارایی ناحیه ایرتیش</t>
  </si>
  <si>
    <t>15318992-1</t>
  </si>
  <si>
    <t>https://goszakup.gov.kz/ru/announce/index/15318992</t>
  </si>
  <si>
    <t>irtfo@mail.ru</t>
  </si>
  <si>
    <t>دپارتمان بخش واقعی اقتصاد ناحیه ایرتیش</t>
  </si>
  <si>
    <t>بازسازی فرودگاه شیمکنت با ساخت باند 2 و تاکسی‌وی‌ها</t>
  </si>
  <si>
    <t>خرید رادار هواشناسی داپلر باند C با قطبش دوگانه برای فرودگاه تراز</t>
  </si>
  <si>
    <t>ساخت ساختمان اداری برای مدیریت حمل‌ونقل در شهر تالدیکورگان</t>
  </si>
  <si>
    <t>تعمیر متوسط ​​بزرگراه "گولوبوکا-قیزیلکاک"، بخش ۱ شامل ۹.۴۸ کیلومتر و بخش ۲ شامل ۹.۹۸ کیلومتر</t>
  </si>
  <si>
    <t>https://goszakup.gov.kz/ru/announce/index/15328424</t>
  </si>
  <si>
    <t>15328424-1</t>
  </si>
  <si>
    <t>دپارتمان تدارکات عمومی و املاک شهری استان غرب قزاقستان</t>
  </si>
  <si>
    <t>1404/06/27</t>
  </si>
  <si>
    <t>15293192-2</t>
  </si>
  <si>
    <t>https://goszakup.gov.kz/ru/announce/index/15324415</t>
  </si>
  <si>
    <t>دپارتمان  اموال و تدارکت عمومی آستانه</t>
  </si>
  <si>
    <t>دپارتمان ساخت و ساز شهر</t>
  </si>
  <si>
    <t>https://goszakup.gov.kz/ru/announce/index/15320014</t>
  </si>
  <si>
    <t>15320014-1</t>
  </si>
  <si>
    <t>15317682-1</t>
  </si>
  <si>
    <t>https://goszakup.gov.kz/ru/announce/index/15317682</t>
  </si>
  <si>
    <t>دپارتمان ساخت و ساز   قزاقستان غربی</t>
  </si>
  <si>
    <t>https://zakup.sk.kz/#/ext(popup:item/1144547/advert)?tabs=advert&amp;pfrom=1000000000&amp;adst=PUBLISHED&amp;lst=PUBLISHED&amp;sort=sumTruNoNds,desc&amp;page=1</t>
  </si>
  <si>
    <t>خرید ۳۰۰۰ تن مونومتیل آنیلین (N-متیل آنیلین)، بهبود یافته</t>
  </si>
  <si>
    <t>خرید تراورس بتنی با بست در استان‌های آلماتی و قیزیلوردا</t>
  </si>
  <si>
    <t>https://zakup.sk.kz/#/ext(popup:item/1144635/advert)?tabs=advert&amp;pfrom=1000000000&amp;adst=PUBLISHED&amp;lst=PUBLISHED&amp;sort=sumTruNoNds,desc&amp;page=1</t>
  </si>
  <si>
    <t>ساخت مدرسه‌ با ظرفیت ۹۰۰ دانش‌آموز در روستای بورلین، ناحیه بورلینسکی، استان قزاقستان غربی</t>
  </si>
  <si>
    <t>توسعه و بازسازی بیمارستان کودکان شماره ۲ آستانه</t>
  </si>
  <si>
    <t>تعمیر متوسط زیرساخت‌ها در بخش‌های مستعد سیل در بزرگراه سراسری KZ03-02 "مکینسک-آکسو-تورگای"</t>
  </si>
  <si>
    <t>ساخت مدرسه‌ با ظرفیت ۳۰۸ دانش‌آموز در روستای ولودارسکویه، ناحیه بایترک، استان قزاقستان غربی</t>
  </si>
  <si>
    <t>فهرست تعدادی از مناقصات جمهوری قزاقستان (شماره 2 شهریور 1404)</t>
  </si>
  <si>
    <t>تهیه: سیدمحمد حسینی، کارشناس اقتصادی - 1404/06/14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</si>
</sst>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b/>
      <sz val="14"/>
      <color theme="1"/>
      <name val="B Nazanin"/>
      <charset val="178"/>
    </font>
    <font>
      <b/>
      <sz val="11"/>
      <color theme="1"/>
      <name val="B Nazanin"/>
      <charset val="178"/>
    </font>
    <font>
      <b/>
      <sz val="14"/>
      <name val="B Nazanin"/>
      <charset val="178"/>
    </font>
    <font>
      <sz val="11"/>
      <name val="B Nazanin"/>
      <charset val="178"/>
    </font>
    <font>
      <sz val="8"/>
      <name val="Calibri"/>
      <family val="2"/>
      <scheme val="minor"/>
    </font>
    <font>
      <b/>
      <sz val="11"/>
      <name val="B Nazanin"/>
      <charset val="178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B Nazanin"/>
      <charset val="178"/>
    </font>
    <font>
      <b/>
      <sz val="18"/>
      <color theme="1"/>
      <name val="B Titr"/>
      <charset val="178"/>
    </font>
    <font>
      <sz val="16"/>
      <color theme="1"/>
      <name val="B Titr"/>
      <charset val="178"/>
    </font>
    <font>
      <b/>
      <sz val="14"/>
      <color theme="1"/>
      <name val="B Titr"/>
      <charset val="178"/>
    </font>
    <font>
      <sz val="11"/>
      <name val="Calibri"/>
      <family val="2"/>
      <scheme val="minor"/>
    </font>
    <font>
      <sz val="11"/>
      <color theme="1"/>
      <name val="Arial"/>
      <family val="2"/>
    </font>
    <font>
      <b/>
      <sz val="10"/>
      <color rgb="FF5F5F5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9F9F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15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9" fillId="0" borderId="2" xfId="2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7" fillId="0" borderId="0" xfId="0" applyFont="1"/>
    <xf numFmtId="0" fontId="1" fillId="0" borderId="1" xfId="0" applyFont="1" applyBorder="1" applyAlignment="1">
      <alignment horizontal="center" vertical="center" wrapText="1"/>
    </xf>
    <xf numFmtId="3" fontId="1" fillId="0" borderId="1" xfId="1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readingOrder="2"/>
    </xf>
    <xf numFmtId="0" fontId="14" fillId="2" borderId="2" xfId="0" applyFont="1" applyFill="1" applyBorder="1" applyAlignment="1">
      <alignment horizontal="center" vertical="center" readingOrder="2"/>
    </xf>
    <xf numFmtId="0" fontId="1" fillId="2" borderId="0" xfId="0" applyFont="1" applyFill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3" fontId="1" fillId="4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vertical="top" wrapText="1" indent="2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0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1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7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8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9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5.emf"/><Relationship Id="rId3" Type="http://schemas.openxmlformats.org/officeDocument/2006/relationships/image" Target="../media/image10.emf"/><Relationship Id="rId7" Type="http://schemas.openxmlformats.org/officeDocument/2006/relationships/image" Target="../media/image6.emf"/><Relationship Id="rId12" Type="http://schemas.openxmlformats.org/officeDocument/2006/relationships/image" Target="../media/image1.emf"/><Relationship Id="rId2" Type="http://schemas.openxmlformats.org/officeDocument/2006/relationships/image" Target="../media/image11.emf"/><Relationship Id="rId1" Type="http://schemas.openxmlformats.org/officeDocument/2006/relationships/image" Target="../media/image12.emf"/><Relationship Id="rId6" Type="http://schemas.openxmlformats.org/officeDocument/2006/relationships/image" Target="../media/image7.emf"/><Relationship Id="rId11" Type="http://schemas.openxmlformats.org/officeDocument/2006/relationships/image" Target="../media/image2.emf"/><Relationship Id="rId5" Type="http://schemas.openxmlformats.org/officeDocument/2006/relationships/image" Target="../media/image8.emf"/><Relationship Id="rId10" Type="http://schemas.openxmlformats.org/officeDocument/2006/relationships/image" Target="../media/image3.emf"/><Relationship Id="rId4" Type="http://schemas.openxmlformats.org/officeDocument/2006/relationships/image" Target="../media/image9.emf"/><Relationship Id="rId9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234603</xdr:colOff>
      <xdr:row>0</xdr:row>
      <xdr:rowOff>40662</xdr:rowOff>
    </xdr:from>
    <xdr:to>
      <xdr:col>5</xdr:col>
      <xdr:colOff>923365</xdr:colOff>
      <xdr:row>1</xdr:row>
      <xdr:rowOff>97357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36364817" y="40662"/>
          <a:ext cx="688762" cy="51707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28" name="Control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29" name="Control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30" name="Control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31" name="Control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32" name="Control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33" name="Control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34" name="Control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35" name="Control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-94548325</xdr:colOff>
          <xdr:row>2</xdr:row>
          <xdr:rowOff>298450</xdr:rowOff>
        </xdr:from>
        <xdr:to>
          <xdr:col>0</xdr:col>
          <xdr:colOff>-94414975</xdr:colOff>
          <xdr:row>3</xdr:row>
          <xdr:rowOff>130175</xdr:rowOff>
        </xdr:to>
        <xdr:sp macro="" textlink="">
          <xdr:nvSpPr>
            <xdr:cNvPr id="1036" name="Control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.xml"/><Relationship Id="rId13" Type="http://schemas.openxmlformats.org/officeDocument/2006/relationships/image" Target="../media/image4.emf"/><Relationship Id="rId18" Type="http://schemas.openxmlformats.org/officeDocument/2006/relationships/control" Target="../activeX/activeX7.xml"/><Relationship Id="rId26" Type="http://schemas.openxmlformats.org/officeDocument/2006/relationships/control" Target="../activeX/activeX11.xml"/><Relationship Id="rId3" Type="http://schemas.openxmlformats.org/officeDocument/2006/relationships/printerSettings" Target="../printerSettings/printerSettings1.bin"/><Relationship Id="rId21" Type="http://schemas.openxmlformats.org/officeDocument/2006/relationships/image" Target="../media/image8.emf"/><Relationship Id="rId7" Type="http://schemas.openxmlformats.org/officeDocument/2006/relationships/image" Target="../media/image1.emf"/><Relationship Id="rId12" Type="http://schemas.openxmlformats.org/officeDocument/2006/relationships/control" Target="../activeX/activeX4.xml"/><Relationship Id="rId17" Type="http://schemas.openxmlformats.org/officeDocument/2006/relationships/image" Target="../media/image6.emf"/><Relationship Id="rId25" Type="http://schemas.openxmlformats.org/officeDocument/2006/relationships/image" Target="../media/image10.emf"/><Relationship Id="rId2" Type="http://schemas.openxmlformats.org/officeDocument/2006/relationships/hyperlink" Target="https://zakup.sk.kz/" TargetMode="External"/><Relationship Id="rId16" Type="http://schemas.openxmlformats.org/officeDocument/2006/relationships/control" Target="../activeX/activeX6.xml"/><Relationship Id="rId20" Type="http://schemas.openxmlformats.org/officeDocument/2006/relationships/control" Target="../activeX/activeX8.xml"/><Relationship Id="rId29" Type="http://schemas.openxmlformats.org/officeDocument/2006/relationships/image" Target="../media/image12.emf"/><Relationship Id="rId1" Type="http://schemas.openxmlformats.org/officeDocument/2006/relationships/hyperlink" Target="https://goszakup.gov.kz/ru/search/announce" TargetMode="External"/><Relationship Id="rId6" Type="http://schemas.openxmlformats.org/officeDocument/2006/relationships/control" Target="../activeX/activeX1.xml"/><Relationship Id="rId11" Type="http://schemas.openxmlformats.org/officeDocument/2006/relationships/image" Target="../media/image3.emf"/><Relationship Id="rId24" Type="http://schemas.openxmlformats.org/officeDocument/2006/relationships/control" Target="../activeX/activeX10.xml"/><Relationship Id="rId5" Type="http://schemas.openxmlformats.org/officeDocument/2006/relationships/vmlDrawing" Target="../drawings/vmlDrawing1.vml"/><Relationship Id="rId15" Type="http://schemas.openxmlformats.org/officeDocument/2006/relationships/image" Target="../media/image5.emf"/><Relationship Id="rId23" Type="http://schemas.openxmlformats.org/officeDocument/2006/relationships/image" Target="../media/image9.emf"/><Relationship Id="rId28" Type="http://schemas.openxmlformats.org/officeDocument/2006/relationships/control" Target="../activeX/activeX12.xml"/><Relationship Id="rId10" Type="http://schemas.openxmlformats.org/officeDocument/2006/relationships/control" Target="../activeX/activeX3.xml"/><Relationship Id="rId19" Type="http://schemas.openxmlformats.org/officeDocument/2006/relationships/image" Target="../media/image7.emf"/><Relationship Id="rId4" Type="http://schemas.openxmlformats.org/officeDocument/2006/relationships/drawing" Target="../drawings/drawing1.xml"/><Relationship Id="rId9" Type="http://schemas.openxmlformats.org/officeDocument/2006/relationships/image" Target="../media/image2.emf"/><Relationship Id="rId14" Type="http://schemas.openxmlformats.org/officeDocument/2006/relationships/control" Target="../activeX/activeX5.xml"/><Relationship Id="rId22" Type="http://schemas.openxmlformats.org/officeDocument/2006/relationships/control" Target="../activeX/activeX9.xml"/><Relationship Id="rId27" Type="http://schemas.openxmlformats.org/officeDocument/2006/relationships/image" Target="../media/image11.emf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27"/>
  <sheetViews>
    <sheetView rightToLeft="1" tabSelected="1" zoomScale="60" zoomScaleNormal="60" workbookViewId="0">
      <pane ySplit="3" topLeftCell="A4" activePane="bottomLeft" state="frozen"/>
      <selection pane="bottomLeft" activeCell="C10" sqref="C10"/>
    </sheetView>
  </sheetViews>
  <sheetFormatPr defaultRowHeight="19.5" x14ac:dyDescent="0.25"/>
  <cols>
    <col min="1" max="1" width="6.42578125" style="3" bestFit="1" customWidth="1"/>
    <col min="2" max="2" width="99.7109375" style="36" bestFit="1" customWidth="1"/>
    <col min="3" max="3" width="29.42578125" style="1" bestFit="1" customWidth="1"/>
    <col min="4" max="4" width="12.5703125" style="6" bestFit="1" customWidth="1"/>
    <col min="5" max="5" width="38.85546875" style="1" bestFit="1" customWidth="1"/>
    <col min="6" max="6" width="40.85546875" style="1" bestFit="1" customWidth="1"/>
    <col min="7" max="7" width="15.140625" style="4" bestFit="1" customWidth="1"/>
    <col min="8" max="8" width="12.28515625" style="1" bestFit="1" customWidth="1"/>
    <col min="9" max="9" width="12.140625" style="1" bestFit="1" customWidth="1"/>
    <col min="10" max="10" width="51.5703125" style="5" bestFit="1" customWidth="1"/>
    <col min="11" max="11" width="46.42578125" style="1" bestFit="1" customWidth="1"/>
    <col min="12" max="12" width="25.85546875" style="1" bestFit="1" customWidth="1"/>
    <col min="13" max="16384" width="9.140625" style="1"/>
  </cols>
  <sheetData>
    <row r="1" spans="1:12" ht="36" x14ac:dyDescent="0.25">
      <c r="A1" s="43" t="s">
        <v>80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s="22" customFormat="1" ht="32.25" x14ac:dyDescent="0.25">
      <c r="A2" s="42" t="s">
        <v>172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2" s="2" customFormat="1" ht="24" x14ac:dyDescent="0.25">
      <c r="A3" s="7" t="s">
        <v>0</v>
      </c>
      <c r="B3" s="34" t="s">
        <v>1</v>
      </c>
      <c r="C3" s="7" t="s">
        <v>3</v>
      </c>
      <c r="D3" s="8" t="s">
        <v>2</v>
      </c>
      <c r="E3" s="7" t="s">
        <v>4</v>
      </c>
      <c r="F3" s="7" t="s">
        <v>5</v>
      </c>
      <c r="G3" s="9" t="s">
        <v>11</v>
      </c>
      <c r="H3" s="7" t="s">
        <v>6</v>
      </c>
      <c r="I3" s="7" t="s">
        <v>7</v>
      </c>
      <c r="J3" s="10" t="s">
        <v>8</v>
      </c>
      <c r="K3" s="7" t="s">
        <v>9</v>
      </c>
      <c r="L3" s="7" t="s">
        <v>10</v>
      </c>
    </row>
    <row r="4" spans="1:12" x14ac:dyDescent="0.25">
      <c r="A4" s="33" cm="1">
        <f t="array" ref="A4">ROW(A4:A4)-3</f>
        <v>1</v>
      </c>
      <c r="B4" s="37" t="s">
        <v>100</v>
      </c>
      <c r="C4" s="11" t="s">
        <v>32</v>
      </c>
      <c r="D4" s="11" t="s">
        <v>98</v>
      </c>
      <c r="E4" s="11" t="s">
        <v>54</v>
      </c>
      <c r="F4" s="11" t="s">
        <v>54</v>
      </c>
      <c r="G4" s="31">
        <v>31180377</v>
      </c>
      <c r="H4" s="30" t="s">
        <v>84</v>
      </c>
      <c r="I4" s="30" t="s">
        <v>89</v>
      </c>
      <c r="J4" s="30" t="s">
        <v>99</v>
      </c>
      <c r="K4" s="30" t="s">
        <v>55</v>
      </c>
      <c r="L4" s="11" t="s">
        <v>52</v>
      </c>
    </row>
    <row r="5" spans="1:12" x14ac:dyDescent="0.25">
      <c r="A5" s="33" cm="1">
        <f t="array" ref="A5">ROW(A5:A5)-3</f>
        <v>2</v>
      </c>
      <c r="B5" s="37" t="s">
        <v>104</v>
      </c>
      <c r="C5" s="11" t="s">
        <v>32</v>
      </c>
      <c r="D5" s="11" t="s">
        <v>101</v>
      </c>
      <c r="E5" s="30" t="s">
        <v>58</v>
      </c>
      <c r="F5" s="11" t="s">
        <v>60</v>
      </c>
      <c r="G5" s="31">
        <v>14124643</v>
      </c>
      <c r="H5" s="30" t="s">
        <v>84</v>
      </c>
      <c r="I5" s="30" t="s">
        <v>103</v>
      </c>
      <c r="J5" s="30" t="s">
        <v>102</v>
      </c>
      <c r="K5" s="30" t="s">
        <v>67</v>
      </c>
      <c r="L5" s="11" t="s">
        <v>53</v>
      </c>
    </row>
    <row r="6" spans="1:12" x14ac:dyDescent="0.25">
      <c r="A6" s="33" cm="1">
        <f t="array" ref="A6">ROW(A6:A6)-3</f>
        <v>3</v>
      </c>
      <c r="B6" s="37" t="s">
        <v>77</v>
      </c>
      <c r="C6" s="11" t="s">
        <v>19</v>
      </c>
      <c r="D6" s="11" t="s">
        <v>105</v>
      </c>
      <c r="E6" s="30" t="s">
        <v>97</v>
      </c>
      <c r="F6" s="11" t="s">
        <v>62</v>
      </c>
      <c r="G6" s="31">
        <v>15002361</v>
      </c>
      <c r="H6" s="30" t="s">
        <v>84</v>
      </c>
      <c r="I6" s="30" t="s">
        <v>91</v>
      </c>
      <c r="J6" s="30" t="s">
        <v>96</v>
      </c>
      <c r="K6" s="38" t="s">
        <v>59</v>
      </c>
      <c r="L6" s="11" t="s">
        <v>18</v>
      </c>
    </row>
    <row r="7" spans="1:12" x14ac:dyDescent="0.25">
      <c r="A7" s="33" cm="1">
        <f t="array" ref="A7">ROW(A7:A7)-3</f>
        <v>4</v>
      </c>
      <c r="B7" s="37" t="s">
        <v>130</v>
      </c>
      <c r="C7" s="11" t="s">
        <v>47</v>
      </c>
      <c r="D7" s="30" t="s">
        <v>106</v>
      </c>
      <c r="E7" s="30" t="s">
        <v>93</v>
      </c>
      <c r="F7" s="11" t="s">
        <v>95</v>
      </c>
      <c r="G7" s="31">
        <v>9992880</v>
      </c>
      <c r="H7" s="30" t="s">
        <v>86</v>
      </c>
      <c r="I7" s="30" t="s">
        <v>90</v>
      </c>
      <c r="J7" s="30" t="s">
        <v>107</v>
      </c>
      <c r="K7" s="39" t="s">
        <v>92</v>
      </c>
      <c r="L7" s="11" t="s">
        <v>18</v>
      </c>
    </row>
    <row r="8" spans="1:12" x14ac:dyDescent="0.25">
      <c r="A8" s="33" cm="1">
        <f t="array" ref="A8">ROW(A8:A8)-3</f>
        <v>5</v>
      </c>
      <c r="B8" s="37" t="s">
        <v>111</v>
      </c>
      <c r="C8" s="11" t="s">
        <v>31</v>
      </c>
      <c r="D8" s="11" t="s">
        <v>108</v>
      </c>
      <c r="E8" s="30" t="s">
        <v>109</v>
      </c>
      <c r="F8" s="30" t="s">
        <v>112</v>
      </c>
      <c r="G8" s="31">
        <v>5620170</v>
      </c>
      <c r="H8" s="30" t="s">
        <v>85</v>
      </c>
      <c r="I8" s="30" t="s">
        <v>91</v>
      </c>
      <c r="J8" s="30" t="s">
        <v>110</v>
      </c>
      <c r="K8" s="39" t="s">
        <v>75</v>
      </c>
      <c r="L8" s="11" t="s">
        <v>18</v>
      </c>
    </row>
    <row r="9" spans="1:12" ht="54" x14ac:dyDescent="0.25">
      <c r="A9" s="33" cm="1">
        <f t="array" ref="A9">ROW(A9:A9)-3</f>
        <v>6</v>
      </c>
      <c r="B9" s="37" t="s">
        <v>113</v>
      </c>
      <c r="C9" s="11" t="s">
        <v>20</v>
      </c>
      <c r="D9" s="11">
        <v>1142249</v>
      </c>
      <c r="E9" s="30" t="s">
        <v>51</v>
      </c>
      <c r="F9" s="11" t="s">
        <v>114</v>
      </c>
      <c r="G9" s="31">
        <v>1243472</v>
      </c>
      <c r="H9" s="30" t="s">
        <v>86</v>
      </c>
      <c r="I9" s="30" t="s">
        <v>117</v>
      </c>
      <c r="J9" s="30" t="s">
        <v>115</v>
      </c>
      <c r="K9" s="30" t="s">
        <v>116</v>
      </c>
      <c r="L9" s="11" t="s">
        <v>52</v>
      </c>
    </row>
    <row r="10" spans="1:12" ht="54" x14ac:dyDescent="0.25">
      <c r="A10" s="33" cm="1">
        <f t="array" ref="A10">ROW(A10:A10)-3</f>
        <v>7</v>
      </c>
      <c r="B10" s="37" t="s">
        <v>129</v>
      </c>
      <c r="C10" s="11" t="s">
        <v>12</v>
      </c>
      <c r="D10" s="11">
        <v>1143115</v>
      </c>
      <c r="E10" s="30" t="s">
        <v>51</v>
      </c>
      <c r="F10" s="11" t="s">
        <v>56</v>
      </c>
      <c r="G10" s="31">
        <v>1183456</v>
      </c>
      <c r="H10" s="30" t="s">
        <v>86</v>
      </c>
      <c r="I10" s="30" t="s">
        <v>117</v>
      </c>
      <c r="J10" s="30" t="s">
        <v>118</v>
      </c>
      <c r="K10" s="30" t="s">
        <v>69</v>
      </c>
      <c r="L10" s="11" t="s">
        <v>52</v>
      </c>
    </row>
    <row r="11" spans="1:12" ht="54" x14ac:dyDescent="0.25">
      <c r="A11" s="33" cm="1">
        <f t="array" ref="A11">ROW(A11:A11)-3</f>
        <v>8</v>
      </c>
      <c r="B11" s="37" t="s">
        <v>131</v>
      </c>
      <c r="C11" s="11" t="s">
        <v>12</v>
      </c>
      <c r="D11" s="12">
        <v>1149243</v>
      </c>
      <c r="E11" s="30" t="s">
        <v>51</v>
      </c>
      <c r="F11" s="11" t="s">
        <v>87</v>
      </c>
      <c r="G11" s="31">
        <v>1149243</v>
      </c>
      <c r="H11" s="30" t="s">
        <v>85</v>
      </c>
      <c r="I11" s="30" t="s">
        <v>117</v>
      </c>
      <c r="J11" s="30" t="s">
        <v>119</v>
      </c>
      <c r="K11" s="30" t="s">
        <v>72</v>
      </c>
      <c r="L11" s="11" t="s">
        <v>52</v>
      </c>
    </row>
    <row r="12" spans="1:12" ht="54" x14ac:dyDescent="0.25">
      <c r="A12" s="33" cm="1">
        <f t="array" ref="A12">ROW(A12:A12)-3</f>
        <v>9</v>
      </c>
      <c r="B12" s="37" t="s">
        <v>132</v>
      </c>
      <c r="C12" s="11" t="s">
        <v>12</v>
      </c>
      <c r="D12" s="11">
        <v>1139509</v>
      </c>
      <c r="E12" s="30" t="s">
        <v>51</v>
      </c>
      <c r="F12" s="30" t="s">
        <v>120</v>
      </c>
      <c r="G12" s="31">
        <v>865767</v>
      </c>
      <c r="H12" s="30" t="s">
        <v>82</v>
      </c>
      <c r="I12" s="30" t="s">
        <v>88</v>
      </c>
      <c r="J12" s="30" t="s">
        <v>121</v>
      </c>
      <c r="K12" s="30" t="s">
        <v>122</v>
      </c>
      <c r="L12" s="11" t="s">
        <v>52</v>
      </c>
    </row>
    <row r="13" spans="1:12" x14ac:dyDescent="0.25">
      <c r="A13" s="33" cm="1">
        <f t="array" ref="A13">ROW(A13:A13)-3</f>
        <v>10</v>
      </c>
      <c r="B13" s="37" t="s">
        <v>127</v>
      </c>
      <c r="C13" s="15" t="s">
        <v>64</v>
      </c>
      <c r="D13" s="11" t="s">
        <v>123</v>
      </c>
      <c r="E13" s="30" t="s">
        <v>124</v>
      </c>
      <c r="F13" s="30" t="s">
        <v>128</v>
      </c>
      <c r="G13" s="31">
        <v>1285368</v>
      </c>
      <c r="H13" s="30" t="s">
        <v>86</v>
      </c>
      <c r="I13" s="30" t="s">
        <v>126</v>
      </c>
      <c r="J13" s="30" t="s">
        <v>125</v>
      </c>
      <c r="K13" s="38" t="s">
        <v>63</v>
      </c>
      <c r="L13" s="11" t="s">
        <v>53</v>
      </c>
    </row>
    <row r="14" spans="1:12" x14ac:dyDescent="0.25">
      <c r="A14" s="33" cm="1">
        <f t="array" ref="A14">ROW(A14:A14)-3</f>
        <v>11</v>
      </c>
      <c r="B14" s="37" t="s">
        <v>147</v>
      </c>
      <c r="C14" s="11" t="s">
        <v>66</v>
      </c>
      <c r="D14" s="11" t="s">
        <v>133</v>
      </c>
      <c r="E14" s="30" t="s">
        <v>134</v>
      </c>
      <c r="F14" s="30" t="s">
        <v>136</v>
      </c>
      <c r="G14" s="31">
        <v>64483684</v>
      </c>
      <c r="H14" s="30" t="s">
        <v>86</v>
      </c>
      <c r="I14" s="30" t="s">
        <v>91</v>
      </c>
      <c r="J14" s="30" t="s">
        <v>135</v>
      </c>
      <c r="K14" s="39" t="s">
        <v>76</v>
      </c>
      <c r="L14" s="11" t="s">
        <v>53</v>
      </c>
    </row>
    <row r="15" spans="1:12" x14ac:dyDescent="0.25">
      <c r="A15" s="33" cm="1">
        <f t="array" ref="A15">ROW(A15:A15)-3</f>
        <v>12</v>
      </c>
      <c r="B15" s="37" t="s">
        <v>148</v>
      </c>
      <c r="C15" s="15" t="s">
        <v>12</v>
      </c>
      <c r="D15" s="11" t="s">
        <v>137</v>
      </c>
      <c r="E15" s="11" t="s">
        <v>65</v>
      </c>
      <c r="F15" s="30" t="s">
        <v>74</v>
      </c>
      <c r="G15" s="31">
        <v>2156763</v>
      </c>
      <c r="H15" s="30" t="s">
        <v>89</v>
      </c>
      <c r="I15" s="30" t="s">
        <v>91</v>
      </c>
      <c r="J15" s="30" t="s">
        <v>138</v>
      </c>
      <c r="K15" s="40"/>
      <c r="L15" s="11" t="s">
        <v>53</v>
      </c>
    </row>
    <row r="16" spans="1:12" x14ac:dyDescent="0.25">
      <c r="A16" s="33" cm="1">
        <f t="array" ref="A16">ROW(A16:A16)-3</f>
        <v>13</v>
      </c>
      <c r="B16" s="37" t="s">
        <v>149</v>
      </c>
      <c r="C16" s="11" t="s">
        <v>23</v>
      </c>
      <c r="D16" s="11" t="s">
        <v>139</v>
      </c>
      <c r="E16" s="30" t="s">
        <v>83</v>
      </c>
      <c r="F16" s="30" t="s">
        <v>141</v>
      </c>
      <c r="G16" s="31">
        <v>13064799</v>
      </c>
      <c r="H16" s="30" t="s">
        <v>86</v>
      </c>
      <c r="I16" s="30" t="s">
        <v>91</v>
      </c>
      <c r="J16" s="30" t="s">
        <v>140</v>
      </c>
      <c r="K16" s="39" t="s">
        <v>57</v>
      </c>
      <c r="L16" s="11" t="s">
        <v>18</v>
      </c>
    </row>
    <row r="17" spans="1:12" x14ac:dyDescent="0.25">
      <c r="A17" s="33" cm="1">
        <f t="array" ref="A17">ROW(A17:A17)-3</f>
        <v>14</v>
      </c>
      <c r="B17" s="37" t="s">
        <v>150</v>
      </c>
      <c r="C17" s="11" t="s">
        <v>32</v>
      </c>
      <c r="D17" s="11" t="s">
        <v>143</v>
      </c>
      <c r="E17" s="30" t="s">
        <v>142</v>
      </c>
      <c r="F17" s="30" t="s">
        <v>146</v>
      </c>
      <c r="G17" s="31">
        <v>2265433</v>
      </c>
      <c r="H17" s="30" t="s">
        <v>86</v>
      </c>
      <c r="I17" s="30" t="s">
        <v>126</v>
      </c>
      <c r="J17" s="30" t="s">
        <v>144</v>
      </c>
      <c r="K17" s="41" t="s">
        <v>145</v>
      </c>
      <c r="L17" s="11" t="s">
        <v>53</v>
      </c>
    </row>
    <row r="18" spans="1:12" ht="36" x14ac:dyDescent="0.25">
      <c r="A18" s="33" cm="1">
        <f t="array" ref="A18">ROW(A18:A18)-3</f>
        <v>15</v>
      </c>
      <c r="B18" s="37" t="s">
        <v>168</v>
      </c>
      <c r="C18" s="11" t="s">
        <v>23</v>
      </c>
      <c r="D18" s="11" t="s">
        <v>152</v>
      </c>
      <c r="E18" s="30" t="s">
        <v>153</v>
      </c>
      <c r="F18" s="30" t="s">
        <v>94</v>
      </c>
      <c r="G18" s="31">
        <v>6490368</v>
      </c>
      <c r="H18" s="30" t="s">
        <v>88</v>
      </c>
      <c r="I18" s="30" t="s">
        <v>117</v>
      </c>
      <c r="J18" s="30" t="s">
        <v>151</v>
      </c>
      <c r="K18" s="39" t="s">
        <v>61</v>
      </c>
      <c r="L18" s="11" t="s">
        <v>18</v>
      </c>
    </row>
    <row r="19" spans="1:12" x14ac:dyDescent="0.25">
      <c r="A19" s="33" cm="1">
        <f t="array" ref="A19">ROW(A19:A19)-3</f>
        <v>16</v>
      </c>
      <c r="B19" s="37" t="s">
        <v>169</v>
      </c>
      <c r="C19" s="11" t="s">
        <v>23</v>
      </c>
      <c r="D19" s="11" t="s">
        <v>155</v>
      </c>
      <c r="E19" s="30" t="s">
        <v>157</v>
      </c>
      <c r="F19" s="30" t="s">
        <v>158</v>
      </c>
      <c r="G19" s="31">
        <v>4934614</v>
      </c>
      <c r="H19" s="30" t="s">
        <v>88</v>
      </c>
      <c r="I19" s="30" t="s">
        <v>103</v>
      </c>
      <c r="J19" s="30" t="s">
        <v>156</v>
      </c>
      <c r="K19" s="39" t="s">
        <v>67</v>
      </c>
      <c r="L19" s="11" t="s">
        <v>18</v>
      </c>
    </row>
    <row r="20" spans="1:12" x14ac:dyDescent="0.25">
      <c r="A20" s="33" cm="1">
        <f t="array" ref="A20">ROW(A20:A20)-3</f>
        <v>17</v>
      </c>
      <c r="B20" s="37" t="s">
        <v>170</v>
      </c>
      <c r="C20" s="11" t="s">
        <v>32</v>
      </c>
      <c r="D20" s="11" t="s">
        <v>160</v>
      </c>
      <c r="E20" s="11" t="s">
        <v>56</v>
      </c>
      <c r="F20" s="11" t="s">
        <v>56</v>
      </c>
      <c r="G20" s="31">
        <v>2800112</v>
      </c>
      <c r="H20" s="30" t="s">
        <v>88</v>
      </c>
      <c r="I20" s="30" t="s">
        <v>103</v>
      </c>
      <c r="J20" s="30" t="s">
        <v>159</v>
      </c>
      <c r="K20" s="39" t="s">
        <v>55</v>
      </c>
      <c r="L20" s="11" t="s">
        <v>52</v>
      </c>
    </row>
    <row r="21" spans="1:12" ht="36" x14ac:dyDescent="0.25">
      <c r="A21" s="33" cm="1">
        <f t="array" ref="A21">ROW(A21:A21)-3</f>
        <v>18</v>
      </c>
      <c r="B21" s="37" t="s">
        <v>171</v>
      </c>
      <c r="C21" s="11" t="s">
        <v>23</v>
      </c>
      <c r="D21" s="11" t="s">
        <v>161</v>
      </c>
      <c r="E21" s="30" t="s">
        <v>153</v>
      </c>
      <c r="F21" s="30" t="s">
        <v>163</v>
      </c>
      <c r="G21" s="31">
        <v>3541817</v>
      </c>
      <c r="H21" s="30" t="s">
        <v>86</v>
      </c>
      <c r="I21" s="30" t="s">
        <v>117</v>
      </c>
      <c r="J21" s="30" t="s">
        <v>162</v>
      </c>
      <c r="K21" s="39" t="s">
        <v>61</v>
      </c>
      <c r="L21" s="11" t="s">
        <v>18</v>
      </c>
    </row>
    <row r="22" spans="1:12" ht="54" x14ac:dyDescent="0.25">
      <c r="A22" s="33" cm="1">
        <f t="array" ref="A22">ROW(A22:A22)-3</f>
        <v>19</v>
      </c>
      <c r="B22" s="37" t="s">
        <v>165</v>
      </c>
      <c r="C22" s="11" t="s">
        <v>46</v>
      </c>
      <c r="D22" s="11">
        <v>1144547</v>
      </c>
      <c r="E22" s="30" t="s">
        <v>51</v>
      </c>
      <c r="F22" s="12" t="s">
        <v>70</v>
      </c>
      <c r="G22" s="31">
        <v>7448491</v>
      </c>
      <c r="H22" s="30" t="s">
        <v>90</v>
      </c>
      <c r="I22" s="30" t="s">
        <v>154</v>
      </c>
      <c r="J22" s="30" t="s">
        <v>164</v>
      </c>
      <c r="K22" s="30" t="s">
        <v>73</v>
      </c>
      <c r="L22" s="11" t="s">
        <v>52</v>
      </c>
    </row>
    <row r="23" spans="1:12" ht="54" x14ac:dyDescent="0.25">
      <c r="A23" s="33" cm="1">
        <f t="array" ref="A23">ROW(A23:A23)-3</f>
        <v>20</v>
      </c>
      <c r="B23" s="37" t="s">
        <v>166</v>
      </c>
      <c r="C23" s="11" t="s">
        <v>12</v>
      </c>
      <c r="D23" s="11">
        <v>1144635</v>
      </c>
      <c r="E23" s="30" t="s">
        <v>51</v>
      </c>
      <c r="F23" s="11" t="s">
        <v>56</v>
      </c>
      <c r="G23" s="31">
        <v>1629895</v>
      </c>
      <c r="H23" s="30" t="s">
        <v>89</v>
      </c>
      <c r="I23" s="30" t="s">
        <v>117</v>
      </c>
      <c r="J23" s="30" t="s">
        <v>167</v>
      </c>
      <c r="K23" s="30" t="s">
        <v>81</v>
      </c>
      <c r="L23" s="11" t="s">
        <v>52</v>
      </c>
    </row>
    <row r="24" spans="1:12" ht="30" customHeight="1" thickBot="1" x14ac:dyDescent="0.25">
      <c r="B24" s="35" t="s">
        <v>173</v>
      </c>
      <c r="C24" s="28"/>
      <c r="D24" s="29"/>
      <c r="J24" s="27"/>
      <c r="K24" s="25"/>
      <c r="L24" s="25"/>
    </row>
    <row r="25" spans="1:12" x14ac:dyDescent="0.25">
      <c r="K25" s="23" t="s">
        <v>48</v>
      </c>
    </row>
    <row r="26" spans="1:12" x14ac:dyDescent="0.25">
      <c r="K26" s="24" t="s">
        <v>49</v>
      </c>
    </row>
    <row r="27" spans="1:12" ht="20.25" thickBot="1" x14ac:dyDescent="0.3">
      <c r="K27" s="26" t="s">
        <v>50</v>
      </c>
    </row>
  </sheetData>
  <mergeCells count="2">
    <mergeCell ref="A2:L2"/>
    <mergeCell ref="A1:L1"/>
  </mergeCells>
  <phoneticPr fontId="6" type="noConversion"/>
  <dataValidations count="1">
    <dataValidation type="list" allowBlank="1" showInputMessage="1" showErrorMessage="1" sqref="D3">
      <formula1>$D$3:$D$165</formula1>
    </dataValidation>
  </dataValidations>
  <hyperlinks>
    <hyperlink ref="K26" r:id="rId1"/>
    <hyperlink ref="K27" r:id="rId2"/>
  </hyperlinks>
  <pageMargins left="0.7" right="0.7" top="0.75" bottom="0.75" header="0.3" footer="0.3"/>
  <pageSetup paperSize="9" scale="35" fitToHeight="0" orientation="landscape" r:id="rId3"/>
  <drawing r:id="rId4"/>
  <legacyDrawing r:id="rId5"/>
  <controls>
    <mc:AlternateContent xmlns:mc="http://schemas.openxmlformats.org/markup-compatibility/2006">
      <mc:Choice Requires="x14">
        <control shapeId="1036" r:id="rId6" name="Control 12">
          <controlPr defaultSize="0" r:id="rId7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36" r:id="rId6" name="Control 12"/>
      </mc:Fallback>
    </mc:AlternateContent>
    <mc:AlternateContent xmlns:mc="http://schemas.openxmlformats.org/markup-compatibility/2006">
      <mc:Choice Requires="x14">
        <control shapeId="1035" r:id="rId8" name="Control 11">
          <controlPr defaultSize="0" r:id="rId9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35" r:id="rId8" name="Control 11"/>
      </mc:Fallback>
    </mc:AlternateContent>
    <mc:AlternateContent xmlns:mc="http://schemas.openxmlformats.org/markup-compatibility/2006">
      <mc:Choice Requires="x14">
        <control shapeId="1034" r:id="rId10" name="Control 10">
          <controlPr defaultSize="0" r:id="rId11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34" r:id="rId10" name="Control 10"/>
      </mc:Fallback>
    </mc:AlternateContent>
    <mc:AlternateContent xmlns:mc="http://schemas.openxmlformats.org/markup-compatibility/2006">
      <mc:Choice Requires="x14">
        <control shapeId="1033" r:id="rId12" name="Control 9">
          <controlPr defaultSize="0" r:id="rId13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33" r:id="rId12" name="Control 9"/>
      </mc:Fallback>
    </mc:AlternateContent>
    <mc:AlternateContent xmlns:mc="http://schemas.openxmlformats.org/markup-compatibility/2006">
      <mc:Choice Requires="x14">
        <control shapeId="1032" r:id="rId14" name="Control 8">
          <controlPr defaultSize="0" r:id="rId15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32" r:id="rId14" name="Control 8"/>
      </mc:Fallback>
    </mc:AlternateContent>
    <mc:AlternateContent xmlns:mc="http://schemas.openxmlformats.org/markup-compatibility/2006">
      <mc:Choice Requires="x14">
        <control shapeId="1031" r:id="rId16" name="Control 7">
          <controlPr defaultSize="0" r:id="rId17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31" r:id="rId16" name="Control 7"/>
      </mc:Fallback>
    </mc:AlternateContent>
    <mc:AlternateContent xmlns:mc="http://schemas.openxmlformats.org/markup-compatibility/2006">
      <mc:Choice Requires="x14">
        <control shapeId="1030" r:id="rId18" name="Control 6">
          <controlPr defaultSize="0" r:id="rId19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30" r:id="rId18" name="Control 6"/>
      </mc:Fallback>
    </mc:AlternateContent>
    <mc:AlternateContent xmlns:mc="http://schemas.openxmlformats.org/markup-compatibility/2006">
      <mc:Choice Requires="x14">
        <control shapeId="1029" r:id="rId20" name="Control 5">
          <controlPr defaultSize="0" r:id="rId21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29" r:id="rId20" name="Control 5"/>
      </mc:Fallback>
    </mc:AlternateContent>
    <mc:AlternateContent xmlns:mc="http://schemas.openxmlformats.org/markup-compatibility/2006">
      <mc:Choice Requires="x14">
        <control shapeId="1028" r:id="rId22" name="Control 4">
          <controlPr defaultSize="0" r:id="rId23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28" r:id="rId22" name="Control 4"/>
      </mc:Fallback>
    </mc:AlternateContent>
    <mc:AlternateContent xmlns:mc="http://schemas.openxmlformats.org/markup-compatibility/2006">
      <mc:Choice Requires="x14">
        <control shapeId="1027" r:id="rId24" name="Control 3">
          <controlPr defaultSize="0" r:id="rId25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27" r:id="rId24" name="Control 3"/>
      </mc:Fallback>
    </mc:AlternateContent>
    <mc:AlternateContent xmlns:mc="http://schemas.openxmlformats.org/markup-compatibility/2006">
      <mc:Choice Requires="x14">
        <control shapeId="1026" r:id="rId26" name="Control 2">
          <controlPr defaultSize="0" r:id="rId27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26" r:id="rId26" name="Control 2"/>
      </mc:Fallback>
    </mc:AlternateContent>
    <mc:AlternateContent xmlns:mc="http://schemas.openxmlformats.org/markup-compatibility/2006">
      <mc:Choice Requires="x14">
        <control shapeId="1025" r:id="rId28" name="Control 1">
          <controlPr defaultSize="0" r:id="rId29">
            <anchor moveWithCells="1">
              <from>
                <xdr:col>3</xdr:col>
                <xdr:colOff>238125</xdr:colOff>
                <xdr:row>3</xdr:row>
                <xdr:rowOff>0</xdr:rowOff>
              </from>
              <to>
                <xdr:col>3</xdr:col>
                <xdr:colOff>371475</xdr:colOff>
                <xdr:row>3</xdr:row>
                <xdr:rowOff>133350</xdr:rowOff>
              </to>
            </anchor>
          </controlPr>
        </control>
      </mc:Choice>
      <mc:Fallback>
        <control shapeId="1025" r:id="rId28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rightToLeft="1" zoomScaleNormal="100" workbookViewId="0">
      <selection activeCell="A3" sqref="A3"/>
    </sheetView>
  </sheetViews>
  <sheetFormatPr defaultRowHeight="18" x14ac:dyDescent="0.25"/>
  <cols>
    <col min="1" max="1" width="30.140625" style="14" bestFit="1" customWidth="1"/>
    <col min="2" max="2" width="5.5703125" style="1" bestFit="1" customWidth="1"/>
    <col min="3" max="3" width="15.42578125" style="18" bestFit="1" customWidth="1"/>
    <col min="4" max="16384" width="9.140625" style="14"/>
  </cols>
  <sheetData>
    <row r="1" spans="1:3" ht="19.5" x14ac:dyDescent="0.25">
      <c r="A1" s="44" t="s">
        <v>35</v>
      </c>
      <c r="B1" s="44"/>
      <c r="C1" s="44"/>
    </row>
    <row r="2" spans="1:3" x14ac:dyDescent="0.25">
      <c r="A2" s="11"/>
      <c r="B2" s="11" t="s">
        <v>13</v>
      </c>
      <c r="C2" s="13" t="s">
        <v>17</v>
      </c>
    </row>
    <row r="3" spans="1:3" x14ac:dyDescent="0.25">
      <c r="A3" s="11" t="s">
        <v>46</v>
      </c>
      <c r="B3" s="12">
        <f>COUNTIF(مناقصات!C4:C1931,"فنی-مهندسی نفت‌وگاز")</f>
        <v>1</v>
      </c>
      <c r="C3" s="31">
        <f>SUMIF(مناقصات!C4:C9863,"فنی-مهندسی نفت‌وگاز",مناقصات!G4:G9863)</f>
        <v>7448491</v>
      </c>
    </row>
    <row r="4" spans="1:3" x14ac:dyDescent="0.25">
      <c r="A4" s="11" t="s">
        <v>21</v>
      </c>
      <c r="B4" s="12">
        <f>COUNTIF(مناقصات!C4:C1931,"فنی-مهندسی برق")</f>
        <v>0</v>
      </c>
      <c r="C4" s="31">
        <f>SUMIF(مناقصات!C4:C9863,"فنی-مهندسی برق",مناقصات!G4:G9863)</f>
        <v>0</v>
      </c>
    </row>
    <row r="5" spans="1:3" x14ac:dyDescent="0.25">
      <c r="A5" s="15" t="s">
        <v>22</v>
      </c>
      <c r="B5" s="12">
        <f>COUNTIF(مناقصات!C4:C1931,"فنی-مهندسی راه‌آهن")</f>
        <v>0</v>
      </c>
      <c r="C5" s="31">
        <f>SUMIF(مناقصات!C4:C9863,"فنی-مهندسی راه‌آهن",مناقصات!G4:G9863)</f>
        <v>0</v>
      </c>
    </row>
    <row r="6" spans="1:3" x14ac:dyDescent="0.25">
      <c r="A6" s="15" t="s">
        <v>40</v>
      </c>
      <c r="B6" s="12">
        <f>COUNTIF(مناقصات!C4:C1931,"فنی-مهندسی گرمایش و سرمایش")</f>
        <v>1</v>
      </c>
      <c r="C6" s="31">
        <f>SUMIF(مناقصات!C4:C9863,"فنی-مهندسی گرمایش و سرمایش",مناقصات!G4:G9863)</f>
        <v>1285368</v>
      </c>
    </row>
    <row r="7" spans="1:3" x14ac:dyDescent="0.25">
      <c r="A7" s="11" t="s">
        <v>29</v>
      </c>
      <c r="B7" s="12">
        <f>COUNTIF(مناقصات!C4:C1931,"فنی-مهندسی ارتباطات و فناوری اطلاعات")</f>
        <v>0</v>
      </c>
      <c r="C7" s="31">
        <f>SUMIF(مناقصات!C4:C9863,"فنی-مهندسی ارتباطات و فناوری اطلاعات",مناقصات!G4:G9863)</f>
        <v>0</v>
      </c>
    </row>
    <row r="8" spans="1:3" x14ac:dyDescent="0.25">
      <c r="A8" s="11" t="s">
        <v>30</v>
      </c>
      <c r="B8" s="12">
        <f>COUNTIF(مناقصات!C4:C1931,"فنی-مهندسی فضای سبز")</f>
        <v>0</v>
      </c>
      <c r="C8" s="31">
        <f>SUMIF(مناقصات!C4:C9863,"فنی-مهندسی فضای سبز",مناقصات!G4:G9863)</f>
        <v>0</v>
      </c>
    </row>
    <row r="9" spans="1:3" x14ac:dyDescent="0.25">
      <c r="A9" s="11" t="s">
        <v>26</v>
      </c>
      <c r="B9" s="12">
        <f>COUNTIF(مناقصات!C4:C1932,"فنی-مهندسی معدن")</f>
        <v>0</v>
      </c>
      <c r="C9" s="31">
        <f>SUMIF(مناقصات!C4:C9864,"فنی-مهندسی معدن",مناقصات!G4:G9864)</f>
        <v>0</v>
      </c>
    </row>
    <row r="10" spans="1:3" x14ac:dyDescent="0.25">
      <c r="A10" s="11" t="s">
        <v>36</v>
      </c>
      <c r="B10" s="12">
        <f>COUNTIF(مناقصات!C4:C1933,"فنی-مهندسی کشاورزی")</f>
        <v>0</v>
      </c>
      <c r="C10" s="31">
        <f>SUMIF(مناقصات!C4:C9865,"فنی-مهندسی کشاورزی",مناقصات!G4:G9865)</f>
        <v>0</v>
      </c>
    </row>
    <row r="11" spans="1:3" x14ac:dyDescent="0.25">
      <c r="A11" s="11" t="s">
        <v>45</v>
      </c>
      <c r="B11" s="12">
        <f>COUNTIF(مناقصات!C4:C1934,"فنی-مهندسی هواپیمایی کشوری")</f>
        <v>1</v>
      </c>
      <c r="C11" s="31">
        <f>SUMIF(مناقصات!C4:C9866,"فنی-مهندسی هواپیمایی کشوری",مناقصات!G4:G9866)</f>
        <v>64483684</v>
      </c>
    </row>
    <row r="12" spans="1:3" x14ac:dyDescent="0.25">
      <c r="A12" s="11" t="s">
        <v>78</v>
      </c>
      <c r="B12" s="12">
        <f>COUNTIF(مناقصات!C4:C1935,"فنی-مهندسی مکانیک")</f>
        <v>0</v>
      </c>
      <c r="C12" s="31">
        <f>SUMIF(مناقصات!C4:C9867,"فنی-مهندسی مکانیک",مناقصات!G4:G9867)</f>
        <v>0</v>
      </c>
    </row>
    <row r="13" spans="1:3" x14ac:dyDescent="0.25">
      <c r="A13" s="11" t="s">
        <v>28</v>
      </c>
      <c r="B13" s="12">
        <f>COUNTIF(مناقصات!C24:C1934,"بازسازی ابنیه تاریخی")</f>
        <v>0</v>
      </c>
      <c r="C13" s="31">
        <f>SUMIF(مناقصات!C4:C9866,"بازسازی ابنیه تاریخی",مناقصات!G4:G9866)</f>
        <v>0</v>
      </c>
    </row>
    <row r="14" spans="1:3" s="3" customFormat="1" ht="19.5" x14ac:dyDescent="0.25">
      <c r="A14" s="16" t="s">
        <v>37</v>
      </c>
      <c r="B14" s="20">
        <f>SUM(B3:B13)</f>
        <v>3</v>
      </c>
      <c r="C14" s="32">
        <f>SUM(C3:C13)</f>
        <v>73217543</v>
      </c>
    </row>
  </sheetData>
  <mergeCells count="1">
    <mergeCell ref="A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rightToLeft="1" zoomScale="110" zoomScaleNormal="110" workbookViewId="0">
      <selection activeCell="A3" sqref="A3:A12"/>
    </sheetView>
  </sheetViews>
  <sheetFormatPr defaultRowHeight="15" x14ac:dyDescent="0.25"/>
  <cols>
    <col min="1" max="1" width="23.7109375" style="14" bestFit="1" customWidth="1"/>
    <col min="2" max="2" width="5.28515625" style="14" bestFit="1" customWidth="1"/>
    <col min="3" max="3" width="14.140625" style="14" bestFit="1" customWidth="1"/>
    <col min="4" max="16384" width="9.140625" style="14"/>
  </cols>
  <sheetData>
    <row r="1" spans="1:3" ht="19.5" x14ac:dyDescent="0.25">
      <c r="A1" s="44" t="s">
        <v>34</v>
      </c>
      <c r="B1" s="44"/>
      <c r="C1" s="44"/>
    </row>
    <row r="2" spans="1:3" s="19" customFormat="1" ht="19.5" x14ac:dyDescent="0.25">
      <c r="A2" s="17"/>
      <c r="B2" s="17" t="s">
        <v>13</v>
      </c>
      <c r="C2" s="17" t="s">
        <v>17</v>
      </c>
    </row>
    <row r="3" spans="1:3" ht="18" x14ac:dyDescent="0.25">
      <c r="A3" s="11" t="s">
        <v>32</v>
      </c>
      <c r="B3" s="12">
        <f>COUNTIF(مناقصات!C4:C1931,"تعمیرات بزرگراه، خیابان و جاده")</f>
        <v>4</v>
      </c>
      <c r="C3" s="12">
        <f>SUMIF(مناقصات!C4:C826,"تعمیرات بزرگراه، خیابان و جاده",مناقصات!G4:G826)</f>
        <v>50370565</v>
      </c>
    </row>
    <row r="4" spans="1:3" ht="18" x14ac:dyDescent="0.25">
      <c r="A4" s="11" t="s">
        <v>31</v>
      </c>
      <c r="B4" s="12">
        <f>COUNTIF(مناقصات!C4:C1931,"ساخت بزرگراه، خیابان و جاده")</f>
        <v>1</v>
      </c>
      <c r="C4" s="12">
        <f>SUMIF(مناقصات!C4:C827,"ساخت بزرگراه، خیابان و جاده",مناقصات!G4:G827)</f>
        <v>5620170</v>
      </c>
    </row>
    <row r="5" spans="1:3" ht="18" x14ac:dyDescent="0.25">
      <c r="A5" s="11" t="s">
        <v>25</v>
      </c>
      <c r="B5" s="12">
        <f>COUNTIF(مناقصات!C4:C1932,"گازرسانی")</f>
        <v>0</v>
      </c>
      <c r="C5" s="12">
        <f>SUMIF(مناقصات!C4:C828,"گازرسانی",مناقصات!G4:G828)</f>
        <v>0</v>
      </c>
    </row>
    <row r="6" spans="1:3" ht="18" x14ac:dyDescent="0.25">
      <c r="A6" s="11" t="s">
        <v>68</v>
      </c>
      <c r="B6" s="12">
        <f>COUNTIF(مناقصات!C4:C1932,"برق‌رسانی")</f>
        <v>0</v>
      </c>
      <c r="C6" s="12">
        <f>SUMIF(مناقصات!C4:C828,"برق‌رسانی",مناقصات!G4:G828)</f>
        <v>0</v>
      </c>
    </row>
    <row r="7" spans="1:3" ht="18" x14ac:dyDescent="0.25">
      <c r="A7" s="11" t="s">
        <v>47</v>
      </c>
      <c r="B7" s="12">
        <f>COUNTIF(مناقصات!C4:C1933,"آب‌وآبفا")</f>
        <v>1</v>
      </c>
      <c r="C7" s="12">
        <f>SUMIF(مناقصات!C4:C829,"آب‌وآبفا",مناقصات!G4:G829)</f>
        <v>9992880</v>
      </c>
    </row>
    <row r="8" spans="1:3" ht="18" x14ac:dyDescent="0.25">
      <c r="A8" s="11" t="s">
        <v>79</v>
      </c>
      <c r="B8" s="12">
        <f>COUNTIF(مناقصات!C4:C1934,"ساخت زیرساخت شهرسازی")</f>
        <v>0</v>
      </c>
      <c r="C8" s="12">
        <f>SUMIF(مناقصات!C4:C830,"ساخت زیرساخت شهرسازی",مناقصات!G4:G830)</f>
        <v>0</v>
      </c>
    </row>
    <row r="9" spans="1:3" ht="18" x14ac:dyDescent="0.25">
      <c r="A9" s="11" t="s">
        <v>19</v>
      </c>
      <c r="B9" s="12">
        <f>COUNTIF(مناقصات!C4:C1931,"انبوه‌سازی مسکن")</f>
        <v>1</v>
      </c>
      <c r="C9" s="12">
        <f>SUMIF(مناقصات!C4:C828,"انبوه‌سازی مسکن",مناقصات!G4:G828)</f>
        <v>15002361</v>
      </c>
    </row>
    <row r="10" spans="1:3" ht="18" x14ac:dyDescent="0.25">
      <c r="A10" s="11" t="s">
        <v>71</v>
      </c>
      <c r="B10" s="12">
        <f>COUNTIF(مناقصات!C4:C1932,"تعمیرات ابنیه/ساختار مسکونی")</f>
        <v>0</v>
      </c>
      <c r="C10" s="12">
        <f>SUMIF(مناقصات!C4:C829,"تعمیرات ابنیه/ساختار مسکونی",مناقصات!G4:G829)</f>
        <v>0</v>
      </c>
    </row>
    <row r="11" spans="1:3" ht="18" x14ac:dyDescent="0.25">
      <c r="A11" s="11" t="s">
        <v>23</v>
      </c>
      <c r="B11" s="12">
        <f>COUNTIF(مناقصات!C4:C1931,"ساخت ابنیه/ساختار غیرمسکونی")</f>
        <v>4</v>
      </c>
      <c r="C11" s="12">
        <f>SUMIF(مناقصات!C4:C826,"ساخت ابنیه/ساختار غیرمسکونی",مناقصات!G4:G826)</f>
        <v>28031598</v>
      </c>
    </row>
    <row r="12" spans="1:3" ht="18" x14ac:dyDescent="0.25">
      <c r="A12" s="15" t="s">
        <v>24</v>
      </c>
      <c r="B12" s="12">
        <f>COUNTIF(مناقصات!C4:C1931,"تعمیرات ابنیه/ساختار غیرمسکونی")</f>
        <v>0</v>
      </c>
      <c r="C12" s="12">
        <f>SUMIF(مناقصات!C4:C827,"تعمیرات ابنیه/ساختار غیرمسکونی",مناقصات!G4:G827)</f>
        <v>0</v>
      </c>
    </row>
    <row r="13" spans="1:3" s="19" customFormat="1" ht="19.5" x14ac:dyDescent="0.25">
      <c r="A13" s="17" t="s">
        <v>39</v>
      </c>
      <c r="B13" s="20">
        <f>SUM(B3:B12)</f>
        <v>11</v>
      </c>
      <c r="C13" s="20">
        <f>SUM(C3:C12)</f>
        <v>109017574</v>
      </c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rightToLeft="1" workbookViewId="0">
      <selection activeCell="A3" sqref="A3"/>
    </sheetView>
  </sheetViews>
  <sheetFormatPr defaultRowHeight="15" x14ac:dyDescent="0.25"/>
  <cols>
    <col min="1" max="1" width="28.42578125" style="14" bestFit="1" customWidth="1"/>
    <col min="2" max="2" width="4.28515625" style="14" bestFit="1" customWidth="1"/>
    <col min="3" max="3" width="12" style="14" bestFit="1" customWidth="1"/>
    <col min="4" max="16384" width="9.140625" style="14"/>
  </cols>
  <sheetData>
    <row r="1" spans="1:3" ht="19.5" x14ac:dyDescent="0.25">
      <c r="A1" s="44" t="s">
        <v>38</v>
      </c>
      <c r="B1" s="44"/>
      <c r="C1" s="44"/>
    </row>
    <row r="2" spans="1:3" ht="18" x14ac:dyDescent="0.25">
      <c r="A2" s="11"/>
      <c r="B2" s="11" t="s">
        <v>13</v>
      </c>
      <c r="C2" s="11" t="s">
        <v>17</v>
      </c>
    </row>
    <row r="3" spans="1:3" ht="18" x14ac:dyDescent="0.25">
      <c r="A3" s="11" t="s">
        <v>20</v>
      </c>
      <c r="B3" s="12">
        <f>COUNTIF(مناقصات!C4:C1931,"خدمات حمل‌ونقل")</f>
        <v>1</v>
      </c>
      <c r="C3" s="12">
        <f>SUMIF(مناقصات!C4:C826,"خدمات حمل‌ونقل",مناقصات!G4:G826)</f>
        <v>1243472</v>
      </c>
    </row>
    <row r="4" spans="1:3" ht="18" x14ac:dyDescent="0.25">
      <c r="A4" s="11" t="s">
        <v>41</v>
      </c>
      <c r="B4" s="12">
        <f>COUNTIF(مناقصات!C4:C1931,"خدمات نظافت خیابان و ساختمان")</f>
        <v>0</v>
      </c>
      <c r="C4" s="12">
        <f>SUMIF(مناقصات!C24:C827,"خدمات نظافت خیابان و ساختمان",مناقصات!G24:G827)</f>
        <v>0</v>
      </c>
    </row>
    <row r="5" spans="1:3" ht="18" x14ac:dyDescent="0.25">
      <c r="A5" s="11" t="s">
        <v>42</v>
      </c>
      <c r="B5" s="12">
        <f>COUNTIF(مناقصات!C24:C1932,"خدمات شهری")</f>
        <v>0</v>
      </c>
      <c r="C5" s="12">
        <f>SUMIF(مناقصات!C24:C828,"خدمات شهری",مناقصات!G24:G828)</f>
        <v>0</v>
      </c>
    </row>
    <row r="6" spans="1:3" ht="18" x14ac:dyDescent="0.25">
      <c r="A6" s="11" t="s">
        <v>27</v>
      </c>
      <c r="B6" s="12">
        <f>COUNTIF(مناقصات!C24:C1933,"خدمات کترینگ")</f>
        <v>0</v>
      </c>
      <c r="C6" s="12">
        <f>SUMIF(مناقصات!C24:C829,"خدمات کترینگ",مناقصات!G24:G829)</f>
        <v>0</v>
      </c>
    </row>
    <row r="7" spans="1:3" ht="19.5" x14ac:dyDescent="0.25">
      <c r="A7" s="17" t="s">
        <v>39</v>
      </c>
      <c r="B7" s="20">
        <f>SUM(B3:B6)</f>
        <v>1</v>
      </c>
      <c r="C7" s="20">
        <f>SUM(C3:C6)</f>
        <v>1243472</v>
      </c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rightToLeft="1" workbookViewId="0">
      <selection activeCell="G29" sqref="G29"/>
    </sheetView>
  </sheetViews>
  <sheetFormatPr defaultRowHeight="15" x14ac:dyDescent="0.25"/>
  <cols>
    <col min="1" max="1" width="9" style="14" bestFit="1" customWidth="1"/>
    <col min="2" max="2" width="4.28515625" style="14" bestFit="1" customWidth="1"/>
    <col min="3" max="3" width="13.42578125" style="14" bestFit="1" customWidth="1"/>
    <col min="4" max="16384" width="9.140625" style="14"/>
  </cols>
  <sheetData>
    <row r="1" spans="1:3" ht="19.5" x14ac:dyDescent="0.25">
      <c r="A1" s="44" t="s">
        <v>33</v>
      </c>
      <c r="B1" s="44"/>
      <c r="C1" s="44"/>
    </row>
    <row r="2" spans="1:3" ht="18" x14ac:dyDescent="0.25">
      <c r="A2" s="11"/>
      <c r="B2" s="11" t="s">
        <v>13</v>
      </c>
      <c r="C2" s="11" t="s">
        <v>17</v>
      </c>
    </row>
    <row r="3" spans="1:3" s="19" customFormat="1" ht="19.5" x14ac:dyDescent="0.25">
      <c r="A3" s="16" t="s">
        <v>12</v>
      </c>
      <c r="B3" s="20">
        <f>COUNTIF(مناقصات!C4:C1931,"خرید اقلام")</f>
        <v>5</v>
      </c>
      <c r="C3" s="20">
        <f>SUMIF(مناقصات!C4:C1931,"خرید اقلام",مناقصات!G4:G1931)</f>
        <v>6985124</v>
      </c>
    </row>
  </sheetData>
  <mergeCells count="1">
    <mergeCell ref="A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rightToLeft="1" workbookViewId="0">
      <selection activeCell="B7" sqref="B7"/>
    </sheetView>
  </sheetViews>
  <sheetFormatPr defaultRowHeight="15" x14ac:dyDescent="0.25"/>
  <cols>
    <col min="1" max="1" width="14" bestFit="1" customWidth="1"/>
    <col min="2" max="2" width="6.42578125" bestFit="1" customWidth="1"/>
    <col min="3" max="3" width="14.5703125" bestFit="1" customWidth="1"/>
  </cols>
  <sheetData>
    <row r="1" spans="1:3" ht="19.5" x14ac:dyDescent="0.5">
      <c r="A1" s="45" t="s">
        <v>15</v>
      </c>
      <c r="B1" s="45"/>
      <c r="C1" s="45"/>
    </row>
    <row r="2" spans="1:3" ht="18" x14ac:dyDescent="0.25">
      <c r="A2" s="11"/>
      <c r="B2" s="11" t="s">
        <v>13</v>
      </c>
      <c r="C2" s="11" t="s">
        <v>17</v>
      </c>
    </row>
    <row r="3" spans="1:3" ht="18" x14ac:dyDescent="0.25">
      <c r="A3" s="11" t="s">
        <v>14</v>
      </c>
      <c r="B3" s="12">
        <f>SUM('آمار فنی-مهندسی'!B14)</f>
        <v>3</v>
      </c>
      <c r="C3" s="12">
        <f>SUM('آمار فنی-مهندسی'!C14)</f>
        <v>73217543</v>
      </c>
    </row>
    <row r="4" spans="1:3" ht="18" x14ac:dyDescent="0.25">
      <c r="A4" s="11" t="s">
        <v>43</v>
      </c>
      <c r="B4" s="12">
        <f>SUM('آمار عمرانی'!B13)</f>
        <v>11</v>
      </c>
      <c r="C4" s="12">
        <f>SUM('آمار عمرانی'!C13)</f>
        <v>109017574</v>
      </c>
    </row>
    <row r="5" spans="1:3" ht="18" x14ac:dyDescent="0.25">
      <c r="A5" s="11" t="s">
        <v>44</v>
      </c>
      <c r="B5" s="12">
        <f>SUM('آمار خدمات'!B7)</f>
        <v>1</v>
      </c>
      <c r="C5" s="12">
        <f>SUM('آمار خدمات'!C7)</f>
        <v>1243472</v>
      </c>
    </row>
    <row r="6" spans="1:3" ht="18" x14ac:dyDescent="0.25">
      <c r="A6" s="11" t="s">
        <v>12</v>
      </c>
      <c r="B6" s="12">
        <f>SUM('خرید اقلام'!B3)</f>
        <v>5</v>
      </c>
      <c r="C6" s="12">
        <f>SUM('خرید اقلام'!C3)</f>
        <v>6985124</v>
      </c>
    </row>
    <row r="7" spans="1:3" s="21" customFormat="1" ht="19.5" x14ac:dyDescent="0.25">
      <c r="A7" s="17" t="s">
        <v>16</v>
      </c>
      <c r="B7" s="20">
        <f>SUM(B3:B6)</f>
        <v>20</v>
      </c>
      <c r="C7" s="20">
        <f>SUM(C3:C6)</f>
        <v>190463713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مناقصات</vt:lpstr>
      <vt:lpstr>آمار فنی-مهندسی</vt:lpstr>
      <vt:lpstr>آمار عمرانی</vt:lpstr>
      <vt:lpstr>آمار خدمات</vt:lpstr>
      <vt:lpstr>خرید اقلام</vt:lpstr>
      <vt:lpstr>آمار کل</vt:lpstr>
    </vt:vector>
  </TitlesOfParts>
  <Company>Win2Farsi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abbas raeisi</cp:lastModifiedBy>
  <cp:lastPrinted>2024-05-30T06:52:00Z</cp:lastPrinted>
  <dcterms:created xsi:type="dcterms:W3CDTF">2024-03-06T10:44:36Z</dcterms:created>
  <dcterms:modified xsi:type="dcterms:W3CDTF">2025-09-22T02:53:06Z</dcterms:modified>
</cp:coreProperties>
</file>